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 Dalhoff Hansen\Downloads\"/>
    </mc:Choice>
  </mc:AlternateContent>
  <xr:revisionPtr revIDLastSave="0" documentId="8_{2B48DDE9-3F77-4B32-94C0-5142487648EA}" xr6:coauthVersionLast="45" xr6:coauthVersionMax="45" xr10:uidLastSave="{00000000-0000-0000-0000-000000000000}"/>
  <bookViews>
    <workbookView xWindow="-108" yWindow="-108" windowWidth="23256" windowHeight="12576" activeTab="2" xr2:uid="{FEA9B951-B1CD-4320-8A1B-EA1BB9F20258}"/>
  </bookViews>
  <sheets>
    <sheet name="2018" sheetId="1" r:id="rId1"/>
    <sheet name="2019" sheetId="4" r:id="rId2"/>
    <sheet name="2020" sheetId="8" r:id="rId3"/>
    <sheet name="Forudsætninger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8" l="1"/>
  <c r="D10" i="8"/>
  <c r="D8" i="8"/>
  <c r="F34" i="4" l="1"/>
  <c r="E34" i="4"/>
  <c r="D34" i="4"/>
  <c r="D31" i="4"/>
  <c r="G25" i="8"/>
  <c r="F25" i="8"/>
  <c r="E25" i="8"/>
  <c r="D25" i="8"/>
  <c r="G24" i="8"/>
  <c r="F24" i="8"/>
  <c r="E24" i="8"/>
  <c r="D24" i="8"/>
  <c r="G23" i="8"/>
  <c r="F23" i="8"/>
  <c r="E23" i="8"/>
  <c r="D23" i="8"/>
  <c r="F21" i="8"/>
  <c r="D21" i="8"/>
  <c r="G20" i="8"/>
  <c r="E20" i="8"/>
  <c r="F19" i="8"/>
  <c r="D19" i="8"/>
  <c r="G21" i="8"/>
  <c r="E21" i="8"/>
  <c r="F20" i="8"/>
  <c r="D20" i="8"/>
  <c r="G19" i="8"/>
  <c r="E19" i="8"/>
  <c r="E27" i="8" l="1"/>
  <c r="G28" i="8"/>
  <c r="G31" i="8" s="1"/>
  <c r="D28" i="8"/>
  <c r="E28" i="8"/>
  <c r="E31" i="8" s="1"/>
  <c r="F28" i="8"/>
  <c r="G27" i="8"/>
  <c r="F27" i="8"/>
  <c r="D27" i="8"/>
  <c r="F31" i="8" l="1"/>
  <c r="D31" i="8"/>
  <c r="F34" i="8" l="1"/>
  <c r="E34" i="8"/>
  <c r="G34" i="8"/>
  <c r="D34" i="8"/>
  <c r="E25" i="4"/>
  <c r="G25" i="4"/>
  <c r="G24" i="4"/>
  <c r="G23" i="4"/>
  <c r="F25" i="4"/>
  <c r="F24" i="4"/>
  <c r="F23" i="4"/>
  <c r="F21" i="4"/>
  <c r="F10" i="4"/>
  <c r="F8" i="4"/>
  <c r="F19" i="4" s="1"/>
  <c r="E24" i="4"/>
  <c r="E23" i="4"/>
  <c r="E10" i="4"/>
  <c r="E21" i="4" s="1"/>
  <c r="D25" i="4"/>
  <c r="D24" i="4"/>
  <c r="D23" i="4"/>
  <c r="G10" i="4"/>
  <c r="G8" i="4"/>
  <c r="G9" i="4"/>
  <c r="F9" i="4"/>
  <c r="F20" i="4" s="1"/>
  <c r="E9" i="4"/>
  <c r="E20" i="4" s="1"/>
  <c r="E8" i="4"/>
  <c r="D10" i="4"/>
  <c r="D9" i="4"/>
  <c r="D8" i="4"/>
  <c r="D19" i="4" s="1"/>
  <c r="E28" i="4" l="1"/>
  <c r="F28" i="4"/>
  <c r="F27" i="4"/>
  <c r="D28" i="4"/>
  <c r="G21" i="4"/>
  <c r="D21" i="4"/>
  <c r="G20" i="4"/>
  <c r="D20" i="4"/>
  <c r="G19" i="4"/>
  <c r="E19" i="4"/>
  <c r="E27" i="4" s="1"/>
  <c r="E31" i="4" s="1"/>
  <c r="D27" i="4" l="1"/>
  <c r="F31" i="4"/>
  <c r="G28" i="4" l="1"/>
  <c r="G27" i="4"/>
  <c r="G31" i="4" l="1"/>
  <c r="G34" i="4" s="1"/>
  <c r="E27" i="1" l="1"/>
  <c r="E26" i="1"/>
  <c r="E25" i="1"/>
  <c r="E30" i="1" s="1"/>
  <c r="E24" i="1"/>
  <c r="E22" i="1"/>
  <c r="E23" i="1"/>
  <c r="E29" i="1" s="1"/>
  <c r="E31" i="1" l="1"/>
</calcChain>
</file>

<file path=xl/sharedStrings.xml><?xml version="1.0" encoding="utf-8"?>
<sst xmlns="http://schemas.openxmlformats.org/spreadsheetml/2006/main" count="244" uniqueCount="51">
  <si>
    <t>Vand</t>
  </si>
  <si>
    <t>m3</t>
  </si>
  <si>
    <t>El</t>
  </si>
  <si>
    <t>kWh</t>
  </si>
  <si>
    <r>
      <t>Dallund Slot CO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regnskab</t>
    </r>
  </si>
  <si>
    <t>Forudsætninger</t>
  </si>
  <si>
    <t>Skov</t>
  </si>
  <si>
    <t>Sø</t>
  </si>
  <si>
    <t>Type</t>
  </si>
  <si>
    <t>Enhed</t>
  </si>
  <si>
    <t>Mængde</t>
  </si>
  <si>
    <t>ha</t>
  </si>
  <si>
    <t>CO2</t>
  </si>
  <si>
    <t>kg</t>
  </si>
  <si>
    <t>https://www.hfb.dk/fileadmin/templates/hfb/dokumenter/beregn/Omsatningstabel_for_brandelsarter.pdf</t>
  </si>
  <si>
    <t>https://www.experimentarium.dk/klima/naturgas/</t>
  </si>
  <si>
    <t>http://www.privatboligen.dk/component/k2/item/457-fakta-om-co2-og-el</t>
  </si>
  <si>
    <t>http://www.projectzero.dk/da-DK/Artikler/2017/Marts/Vand-er-også-CO2.aspx</t>
  </si>
  <si>
    <t>Park</t>
  </si>
  <si>
    <t>Naturgas</t>
  </si>
  <si>
    <t>kg CO2</t>
  </si>
  <si>
    <t>vejer</t>
  </si>
  <si>
    <t>kg CO2/år</t>
  </si>
  <si>
    <t>BB</t>
  </si>
  <si>
    <t>Periode:</t>
  </si>
  <si>
    <t>Udledning/Optagelse</t>
  </si>
  <si>
    <t>Optagelse</t>
  </si>
  <si>
    <t>Udledning</t>
  </si>
  <si>
    <t>Total</t>
  </si>
  <si>
    <t>Energi Fyn's estimerede forbrug for 2018 - årsopgørelse modtages i juni 2019</t>
  </si>
  <si>
    <t>Der er optaget mere CO2 end der er udledt i 2018</t>
  </si>
  <si>
    <t>01.01.2018 - 31.12.2018</t>
  </si>
  <si>
    <t>Data</t>
  </si>
  <si>
    <t>CO2 [kg]</t>
  </si>
  <si>
    <t>Mængde [m3]</t>
  </si>
  <si>
    <t>Mængde [kWh]</t>
  </si>
  <si>
    <t>Mængde [ha]</t>
  </si>
  <si>
    <t>CO2 opgørelse</t>
  </si>
  <si>
    <t>01.01.2019 - 31.12.2019</t>
  </si>
  <si>
    <t>Udgangspunktet for beregningen er konservativ, det vil sige, hvis der ikke er konsensus omkring optag eller udledning, vil vi vælge det laveste optag og/eller højeste udledning. Vi ser derudover  udarbejdelsen af CO2 regnskabet som en proces, der løbende kan forbedres. Vi er derfor meget interesserede i at modtage kommentarer og forslag der kan gøre vores beregning mere retvisende. Kontakt bjorn@trioline.com med eventuelle kommentarer.</t>
  </si>
  <si>
    <t>Regnskabet opdateres på kvartalsbasis</t>
  </si>
  <si>
    <t>Vi er ikke certificerede af ekstern miljø-verifikator. Dette forventes at ske ultimo 2020.</t>
  </si>
  <si>
    <t>https://videntjenesten.ku.dk/raadgivning/spoergsmaal_og_svar/skov_og_natur/er_der_forskel_p__de_forskellige_tr_sorters_evne_til_at_optage_co2_/</t>
  </si>
  <si>
    <t>-</t>
  </si>
  <si>
    <t>1. kvartal</t>
  </si>
  <si>
    <t>2. kvartal</t>
  </si>
  <si>
    <t>3. kvartal</t>
  </si>
  <si>
    <t>4. kvartal</t>
  </si>
  <si>
    <t>Total år til dato</t>
  </si>
  <si>
    <t>Total pr. kvartal</t>
  </si>
  <si>
    <t>01.01.2020 - 30.06.2020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</si>
</sst>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1"/>
    <xf numFmtId="1" fontId="0" fillId="0" borderId="0" xfId="0" applyNumberFormat="1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vatboligen.dk/component/k2/item/457-fakta-om-co2-og-el" TargetMode="External"/><Relationship Id="rId2" Type="http://schemas.openxmlformats.org/officeDocument/2006/relationships/hyperlink" Target="https://www.experimentarium.dk/klima/naturgas/" TargetMode="External"/><Relationship Id="rId1" Type="http://schemas.openxmlformats.org/officeDocument/2006/relationships/hyperlink" Target="https://www.hfb.dk/fileadmin/templates/hfb/dokumenter/beregn/Omsatningstabel_for_brandelsarte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rojectzero.dk/da-DK/Artikler/2017/Marts/Vand-er-ogs&#229;-CO2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vatboligen.dk/component/k2/item/457-fakta-om-co2-og-el" TargetMode="External"/><Relationship Id="rId2" Type="http://schemas.openxmlformats.org/officeDocument/2006/relationships/hyperlink" Target="https://www.experimentarium.dk/klima/naturgas/" TargetMode="External"/><Relationship Id="rId1" Type="http://schemas.openxmlformats.org/officeDocument/2006/relationships/hyperlink" Target="https://www.hfb.dk/fileadmin/templates/hfb/dokumenter/beregn/Omsatningstabel_for_brandelsarter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videntjenesten.ku.dk/raadgivning/spoergsmaal_og_svar/skov_og_natur/er_der_forskel_p__de_forskellige_tr_sorters_evne_til_at_optage_co2_/" TargetMode="External"/><Relationship Id="rId4" Type="http://schemas.openxmlformats.org/officeDocument/2006/relationships/hyperlink" Target="http://www.projectzero.dk/da-DK/Artikler/2017/Marts/Vand-er-ogs&#229;-CO2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03FD-BB5A-4863-AC48-7DD47245E99D}">
  <dimension ref="A1:H35"/>
  <sheetViews>
    <sheetView workbookViewId="0"/>
  </sheetViews>
  <sheetFormatPr defaultRowHeight="14.4" x14ac:dyDescent="0.3"/>
  <cols>
    <col min="1" max="1" width="13.6640625" customWidth="1"/>
    <col min="4" max="4" width="21.5546875" bestFit="1" customWidth="1"/>
    <col min="7" max="7" width="7.6640625" customWidth="1"/>
  </cols>
  <sheetData>
    <row r="1" spans="1:8" ht="23.4" x14ac:dyDescent="0.4">
      <c r="A1" s="1" t="s">
        <v>4</v>
      </c>
    </row>
    <row r="4" spans="1:8" x14ac:dyDescent="0.3">
      <c r="A4" s="6" t="s">
        <v>5</v>
      </c>
      <c r="B4" s="7"/>
      <c r="C4" s="7"/>
      <c r="D4" s="7"/>
      <c r="E4" s="7"/>
      <c r="F4" s="7"/>
    </row>
    <row r="5" spans="1:8" x14ac:dyDescent="0.3">
      <c r="A5" s="2"/>
    </row>
    <row r="6" spans="1:8" x14ac:dyDescent="0.3">
      <c r="A6" t="s">
        <v>24</v>
      </c>
      <c r="B6" t="s">
        <v>31</v>
      </c>
    </row>
    <row r="8" spans="1:8" x14ac:dyDescent="0.3">
      <c r="A8" s="2" t="s">
        <v>8</v>
      </c>
      <c r="B8" s="2" t="s">
        <v>10</v>
      </c>
      <c r="C8" s="2" t="s">
        <v>9</v>
      </c>
      <c r="D8" s="2" t="s">
        <v>25</v>
      </c>
      <c r="E8" s="2" t="s">
        <v>10</v>
      </c>
      <c r="F8" s="2" t="s">
        <v>9</v>
      </c>
      <c r="G8" s="2"/>
      <c r="H8" s="2"/>
    </row>
    <row r="9" spans="1:8" x14ac:dyDescent="0.3">
      <c r="A9" t="s">
        <v>6</v>
      </c>
      <c r="B9">
        <v>1</v>
      </c>
      <c r="C9" t="s">
        <v>11</v>
      </c>
      <c r="D9" t="s">
        <v>26</v>
      </c>
      <c r="E9">
        <v>10000</v>
      </c>
      <c r="F9" t="s">
        <v>22</v>
      </c>
      <c r="H9" t="s">
        <v>23</v>
      </c>
    </row>
    <row r="10" spans="1:8" x14ac:dyDescent="0.3">
      <c r="A10" t="s">
        <v>7</v>
      </c>
      <c r="B10">
        <v>1</v>
      </c>
      <c r="C10" t="s">
        <v>11</v>
      </c>
      <c r="D10" t="s">
        <v>26</v>
      </c>
      <c r="E10">
        <v>0</v>
      </c>
      <c r="F10" t="s">
        <v>22</v>
      </c>
      <c r="H10" t="s">
        <v>23</v>
      </c>
    </row>
    <row r="11" spans="1:8" x14ac:dyDescent="0.3">
      <c r="A11" t="s">
        <v>18</v>
      </c>
      <c r="B11">
        <v>1</v>
      </c>
      <c r="C11" t="s">
        <v>11</v>
      </c>
      <c r="D11" t="s">
        <v>26</v>
      </c>
      <c r="E11">
        <v>0</v>
      </c>
      <c r="F11" t="s">
        <v>22</v>
      </c>
      <c r="H11" t="s">
        <v>23</v>
      </c>
    </row>
    <row r="12" spans="1:8" x14ac:dyDescent="0.3">
      <c r="A12" t="s">
        <v>19</v>
      </c>
      <c r="B12">
        <v>1</v>
      </c>
      <c r="C12" t="s">
        <v>13</v>
      </c>
      <c r="D12" t="s">
        <v>27</v>
      </c>
      <c r="E12">
        <v>2.7</v>
      </c>
      <c r="F12" t="s">
        <v>20</v>
      </c>
      <c r="H12" s="3" t="s">
        <v>15</v>
      </c>
    </row>
    <row r="13" spans="1:8" x14ac:dyDescent="0.3">
      <c r="A13" t="s">
        <v>19</v>
      </c>
      <c r="B13">
        <v>1</v>
      </c>
      <c r="C13" t="s">
        <v>1</v>
      </c>
      <c r="D13" t="s">
        <v>21</v>
      </c>
      <c r="E13">
        <v>1.68</v>
      </c>
      <c r="F13" t="s">
        <v>13</v>
      </c>
      <c r="H13" s="3" t="s">
        <v>14</v>
      </c>
    </row>
    <row r="14" spans="1:8" x14ac:dyDescent="0.3">
      <c r="A14" t="s">
        <v>2</v>
      </c>
      <c r="B14">
        <v>1</v>
      </c>
      <c r="C14" t="s">
        <v>3</v>
      </c>
      <c r="D14" t="s">
        <v>27</v>
      </c>
      <c r="E14">
        <v>0.5</v>
      </c>
      <c r="F14" t="s">
        <v>20</v>
      </c>
      <c r="H14" s="3" t="s">
        <v>16</v>
      </c>
    </row>
    <row r="15" spans="1:8" x14ac:dyDescent="0.3">
      <c r="A15" s="5" t="s">
        <v>0</v>
      </c>
      <c r="B15" s="5">
        <v>1</v>
      </c>
      <c r="C15" s="5" t="s">
        <v>1</v>
      </c>
      <c r="D15" s="5" t="s">
        <v>27</v>
      </c>
      <c r="E15" s="5">
        <v>0.2</v>
      </c>
      <c r="F15" s="5" t="s">
        <v>20</v>
      </c>
      <c r="H15" s="3" t="s">
        <v>17</v>
      </c>
    </row>
    <row r="16" spans="1:8" x14ac:dyDescent="0.3">
      <c r="A16" s="5"/>
      <c r="B16" s="5"/>
      <c r="C16" s="5"/>
      <c r="D16" s="5"/>
      <c r="E16" s="5"/>
      <c r="F16" s="5"/>
    </row>
    <row r="17" spans="1:8" x14ac:dyDescent="0.3">
      <c r="A17" s="5"/>
      <c r="B17" s="5"/>
      <c r="C17" s="5"/>
      <c r="D17" s="5"/>
      <c r="E17" s="5"/>
      <c r="F17" s="5"/>
    </row>
    <row r="19" spans="1:8" x14ac:dyDescent="0.3">
      <c r="A19" s="6" t="s">
        <v>32</v>
      </c>
      <c r="B19" s="7"/>
      <c r="C19" s="7"/>
      <c r="D19" s="7"/>
      <c r="E19" s="7"/>
      <c r="F19" s="7"/>
    </row>
    <row r="21" spans="1:8" x14ac:dyDescent="0.3">
      <c r="A21" s="2" t="s">
        <v>8</v>
      </c>
      <c r="B21" s="2" t="s">
        <v>10</v>
      </c>
      <c r="C21" s="2" t="s">
        <v>9</v>
      </c>
      <c r="D21" s="2" t="s">
        <v>25</v>
      </c>
      <c r="E21" s="2" t="s">
        <v>12</v>
      </c>
      <c r="F21" s="2" t="s">
        <v>9</v>
      </c>
    </row>
    <row r="22" spans="1:8" x14ac:dyDescent="0.3">
      <c r="A22" t="s">
        <v>19</v>
      </c>
      <c r="B22">
        <v>20097</v>
      </c>
      <c r="C22" t="s">
        <v>1</v>
      </c>
      <c r="D22" t="s">
        <v>27</v>
      </c>
      <c r="E22" s="4">
        <f>B22*E13*E12</f>
        <v>91159.991999999998</v>
      </c>
      <c r="F22" t="s">
        <v>13</v>
      </c>
      <c r="H22" t="s">
        <v>29</v>
      </c>
    </row>
    <row r="23" spans="1:8" x14ac:dyDescent="0.3">
      <c r="A23" t="s">
        <v>0</v>
      </c>
      <c r="B23">
        <v>577</v>
      </c>
      <c r="C23" t="s">
        <v>1</v>
      </c>
      <c r="D23" t="s">
        <v>27</v>
      </c>
      <c r="E23" s="4">
        <f>B23*E15</f>
        <v>115.4</v>
      </c>
      <c r="F23" t="s">
        <v>13</v>
      </c>
    </row>
    <row r="24" spans="1:8" x14ac:dyDescent="0.3">
      <c r="A24" t="s">
        <v>2</v>
      </c>
      <c r="B24">
        <v>77578</v>
      </c>
      <c r="C24" t="s">
        <v>3</v>
      </c>
      <c r="D24" t="s">
        <v>27</v>
      </c>
      <c r="E24">
        <f>B24*E14</f>
        <v>38789</v>
      </c>
      <c r="F24" t="s">
        <v>13</v>
      </c>
    </row>
    <row r="25" spans="1:8" x14ac:dyDescent="0.3">
      <c r="A25" t="s">
        <v>6</v>
      </c>
      <c r="B25">
        <v>25</v>
      </c>
      <c r="C25" t="s">
        <v>11</v>
      </c>
      <c r="D25" t="s">
        <v>26</v>
      </c>
      <c r="E25">
        <f>E9*B25</f>
        <v>250000</v>
      </c>
      <c r="F25" t="s">
        <v>13</v>
      </c>
    </row>
    <row r="26" spans="1:8" x14ac:dyDescent="0.3">
      <c r="A26" t="s">
        <v>7</v>
      </c>
      <c r="B26">
        <v>15</v>
      </c>
      <c r="C26" t="s">
        <v>11</v>
      </c>
      <c r="D26" t="s">
        <v>26</v>
      </c>
      <c r="E26">
        <f>E10*B26</f>
        <v>0</v>
      </c>
      <c r="F26" t="s">
        <v>13</v>
      </c>
    </row>
    <row r="27" spans="1:8" x14ac:dyDescent="0.3">
      <c r="A27" t="s">
        <v>18</v>
      </c>
      <c r="B27">
        <v>10</v>
      </c>
      <c r="C27" t="s">
        <v>11</v>
      </c>
      <c r="D27" t="s">
        <v>26</v>
      </c>
      <c r="E27">
        <f>E11*B27</f>
        <v>0</v>
      </c>
      <c r="F27" t="s">
        <v>13</v>
      </c>
    </row>
    <row r="29" spans="1:8" x14ac:dyDescent="0.3">
      <c r="A29" t="s">
        <v>27</v>
      </c>
      <c r="E29" s="4">
        <f>SUM(E22:E24)</f>
        <v>130064.39199999999</v>
      </c>
      <c r="F29" t="s">
        <v>13</v>
      </c>
    </row>
    <row r="30" spans="1:8" x14ac:dyDescent="0.3">
      <c r="A30" t="s">
        <v>26</v>
      </c>
      <c r="E30">
        <f>SUM(E25:E27)</f>
        <v>250000</v>
      </c>
      <c r="F30" t="s">
        <v>13</v>
      </c>
    </row>
    <row r="31" spans="1:8" s="2" customFormat="1" x14ac:dyDescent="0.3">
      <c r="A31" s="2" t="s">
        <v>28</v>
      </c>
      <c r="E31" s="2">
        <f>E29-E30</f>
        <v>-119935.60800000001</v>
      </c>
      <c r="F31" s="2" t="s">
        <v>13</v>
      </c>
    </row>
    <row r="32" spans="1:8" x14ac:dyDescent="0.3">
      <c r="A32" s="5"/>
      <c r="B32" s="5"/>
      <c r="C32" s="5"/>
      <c r="D32" s="5"/>
      <c r="E32" s="5"/>
      <c r="F32" s="5"/>
    </row>
    <row r="33" spans="1:6" x14ac:dyDescent="0.3">
      <c r="A33" s="5" t="s">
        <v>30</v>
      </c>
      <c r="B33" s="5"/>
      <c r="C33" s="5"/>
      <c r="D33" s="5"/>
      <c r="E33" s="5"/>
      <c r="F33" s="5"/>
    </row>
    <row r="34" spans="1:6" x14ac:dyDescent="0.3">
      <c r="A34" s="5"/>
      <c r="B34" s="5"/>
      <c r="C34" s="5"/>
      <c r="D34" s="5"/>
      <c r="E34" s="5"/>
      <c r="F34" s="5"/>
    </row>
    <row r="35" spans="1:6" x14ac:dyDescent="0.3">
      <c r="A35" s="5"/>
      <c r="B35" s="5"/>
      <c r="C35" s="5"/>
      <c r="D35" s="5"/>
      <c r="E35" s="5"/>
      <c r="F35" s="5"/>
    </row>
  </sheetData>
  <hyperlinks>
    <hyperlink ref="H13" r:id="rId1" xr:uid="{0DE80A40-125A-4BDE-ABB9-037D131F40DA}"/>
    <hyperlink ref="H12" r:id="rId2" xr:uid="{65C1ACD9-5E46-432A-932B-C2123F983BC0}"/>
    <hyperlink ref="H14" r:id="rId3" xr:uid="{3B6F3534-4534-4649-8664-8256FEC7D625}"/>
    <hyperlink ref="H15" r:id="rId4" xr:uid="{625A95A2-26BC-4EC2-8613-71D16D6C6165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4B69-AA0E-4C1D-87E1-E42C01B33B3C}">
  <dimension ref="A1:G35"/>
  <sheetViews>
    <sheetView workbookViewId="0"/>
  </sheetViews>
  <sheetFormatPr defaultColWidth="9.109375" defaultRowHeight="14.4" x14ac:dyDescent="0.3"/>
  <cols>
    <col min="1" max="1" width="14.6640625" style="10" customWidth="1"/>
    <col min="2" max="2" width="14.88671875" style="10" bestFit="1" customWidth="1"/>
    <col min="3" max="3" width="20.33203125" style="10" bestFit="1" customWidth="1"/>
    <col min="4" max="7" width="10.6640625" style="10" customWidth="1"/>
    <col min="8" max="16384" width="9.109375" style="10"/>
  </cols>
  <sheetData>
    <row r="1" spans="1:7" ht="23.4" x14ac:dyDescent="0.3">
      <c r="A1" s="9" t="s">
        <v>4</v>
      </c>
    </row>
    <row r="4" spans="1:7" x14ac:dyDescent="0.3">
      <c r="A4" s="10" t="s">
        <v>24</v>
      </c>
      <c r="B4" s="12" t="s">
        <v>38</v>
      </c>
      <c r="C4"/>
      <c r="D4"/>
    </row>
    <row r="6" spans="1:7" x14ac:dyDescent="0.3">
      <c r="A6" s="11" t="s">
        <v>32</v>
      </c>
      <c r="B6" s="8" t="s">
        <v>9</v>
      </c>
      <c r="C6" s="8" t="s">
        <v>25</v>
      </c>
      <c r="D6" s="16" t="s">
        <v>44</v>
      </c>
      <c r="E6" s="16" t="s">
        <v>45</v>
      </c>
      <c r="F6" s="16" t="s">
        <v>46</v>
      </c>
      <c r="G6" s="16" t="s">
        <v>47</v>
      </c>
    </row>
    <row r="8" spans="1:7" x14ac:dyDescent="0.3">
      <c r="A8" s="10" t="s">
        <v>19</v>
      </c>
      <c r="B8" s="10" t="s">
        <v>34</v>
      </c>
      <c r="C8" s="10" t="s">
        <v>27</v>
      </c>
      <c r="D8" s="15">
        <f>3584+2446+2527</f>
        <v>8557</v>
      </c>
      <c r="E8" s="17">
        <f>1809+1349+560</f>
        <v>3718</v>
      </c>
      <c r="F8" s="17">
        <f>406+427+993</f>
        <v>1826</v>
      </c>
      <c r="G8" s="15">
        <f>1897+2653+3256</f>
        <v>7806</v>
      </c>
    </row>
    <row r="9" spans="1:7" x14ac:dyDescent="0.3">
      <c r="A9" s="10" t="s">
        <v>0</v>
      </c>
      <c r="B9" s="10" t="s">
        <v>34</v>
      </c>
      <c r="C9" s="10" t="s">
        <v>27</v>
      </c>
      <c r="D9" s="15">
        <f>48+48+48</f>
        <v>144</v>
      </c>
      <c r="E9" s="15">
        <f>48+48+48</f>
        <v>144</v>
      </c>
      <c r="F9" s="15">
        <f>48+48+48</f>
        <v>144</v>
      </c>
      <c r="G9" s="15">
        <f>48+48+48</f>
        <v>144</v>
      </c>
    </row>
    <row r="10" spans="1:7" x14ac:dyDescent="0.3">
      <c r="A10" s="10" t="s">
        <v>2</v>
      </c>
      <c r="B10" s="10" t="s">
        <v>35</v>
      </c>
      <c r="C10" s="10" t="s">
        <v>27</v>
      </c>
      <c r="D10" s="15">
        <f>8689+6686+8706</f>
        <v>24081</v>
      </c>
      <c r="E10" s="17">
        <f>8357+8995+7378</f>
        <v>24730</v>
      </c>
      <c r="F10" s="17">
        <f>4218+7357+7346</f>
        <v>18921</v>
      </c>
      <c r="G10" s="15">
        <f>6680+7522+6282</f>
        <v>20484</v>
      </c>
    </row>
    <row r="11" spans="1:7" x14ac:dyDescent="0.3">
      <c r="D11" s="15"/>
      <c r="E11" s="15"/>
      <c r="F11" s="15"/>
      <c r="G11" s="15"/>
    </row>
    <row r="12" spans="1:7" x14ac:dyDescent="0.3">
      <c r="A12" s="10" t="s">
        <v>6</v>
      </c>
      <c r="B12" s="10" t="s">
        <v>36</v>
      </c>
      <c r="C12" s="10" t="s">
        <v>26</v>
      </c>
      <c r="D12" s="15">
        <v>25</v>
      </c>
      <c r="E12" s="15">
        <v>25</v>
      </c>
      <c r="F12" s="15">
        <v>25</v>
      </c>
      <c r="G12" s="15">
        <v>25</v>
      </c>
    </row>
    <row r="13" spans="1:7" x14ac:dyDescent="0.3">
      <c r="A13" s="10" t="s">
        <v>7</v>
      </c>
      <c r="B13" s="10" t="s">
        <v>36</v>
      </c>
      <c r="C13" s="10" t="s">
        <v>26</v>
      </c>
      <c r="D13" s="15">
        <v>15</v>
      </c>
      <c r="E13" s="15">
        <v>15</v>
      </c>
      <c r="F13" s="15">
        <v>15</v>
      </c>
      <c r="G13" s="15">
        <v>15</v>
      </c>
    </row>
    <row r="14" spans="1:7" x14ac:dyDescent="0.3">
      <c r="A14" s="10" t="s">
        <v>18</v>
      </c>
      <c r="B14" s="10" t="s">
        <v>36</v>
      </c>
      <c r="C14" s="10" t="s">
        <v>26</v>
      </c>
      <c r="D14" s="15">
        <v>10</v>
      </c>
      <c r="E14" s="15">
        <v>10</v>
      </c>
      <c r="F14" s="15">
        <v>10</v>
      </c>
      <c r="G14" s="15">
        <v>10</v>
      </c>
    </row>
    <row r="17" spans="1:7" x14ac:dyDescent="0.3">
      <c r="A17" s="11" t="s">
        <v>37</v>
      </c>
      <c r="B17" s="8" t="s">
        <v>9</v>
      </c>
      <c r="C17" s="8" t="s">
        <v>25</v>
      </c>
      <c r="D17" s="16" t="s">
        <v>44</v>
      </c>
      <c r="E17" s="16" t="s">
        <v>45</v>
      </c>
      <c r="F17" s="16" t="s">
        <v>46</v>
      </c>
      <c r="G17" s="16" t="s">
        <v>47</v>
      </c>
    </row>
    <row r="19" spans="1:7" x14ac:dyDescent="0.3">
      <c r="A19" s="10" t="s">
        <v>19</v>
      </c>
      <c r="B19" s="10" t="s">
        <v>33</v>
      </c>
      <c r="D19" s="15">
        <f>D8*Forudsætninger!$E$12*Forudsætninger!$E$13</f>
        <v>38814.552000000003</v>
      </c>
      <c r="E19" s="15">
        <f>E8*Forudsætninger!$E$12*Forudsætninger!$E$13</f>
        <v>16864.848000000002</v>
      </c>
      <c r="F19" s="15">
        <f>F8*Forudsætninger!$E$12*Forudsætninger!$E$13</f>
        <v>8282.7360000000008</v>
      </c>
      <c r="G19" s="15">
        <f>G8*Forudsætninger!$E$12*Forudsætninger!$E$13</f>
        <v>35408.016000000003</v>
      </c>
    </row>
    <row r="20" spans="1:7" x14ac:dyDescent="0.3">
      <c r="A20" s="10" t="s">
        <v>0</v>
      </c>
      <c r="B20" s="10" t="s">
        <v>33</v>
      </c>
      <c r="D20" s="15">
        <f>D9*Forudsætninger!$E$15</f>
        <v>28.8</v>
      </c>
      <c r="E20" s="15">
        <f>E9*Forudsætninger!$E$15</f>
        <v>28.8</v>
      </c>
      <c r="F20" s="15">
        <f>F9*Forudsætninger!$E$15</f>
        <v>28.8</v>
      </c>
      <c r="G20" s="15">
        <f>G9*Forudsætninger!$E$15</f>
        <v>28.8</v>
      </c>
    </row>
    <row r="21" spans="1:7" x14ac:dyDescent="0.3">
      <c r="A21" s="10" t="s">
        <v>2</v>
      </c>
      <c r="B21" s="10" t="s">
        <v>33</v>
      </c>
      <c r="D21" s="15">
        <f>D10*Forudsætninger!$E$14</f>
        <v>12040.5</v>
      </c>
      <c r="E21" s="15">
        <f>E10*Forudsætninger!$E$14</f>
        <v>12365</v>
      </c>
      <c r="F21" s="15">
        <f>F10*Forudsætninger!$E$14</f>
        <v>9460.5</v>
      </c>
      <c r="G21" s="15">
        <f>G10*Forudsætninger!$E$14</f>
        <v>10242</v>
      </c>
    </row>
    <row r="23" spans="1:7" x14ac:dyDescent="0.3">
      <c r="A23" s="10" t="s">
        <v>6</v>
      </c>
      <c r="B23" s="10" t="s">
        <v>33</v>
      </c>
      <c r="D23" s="15">
        <f>D12*(Forudsætninger!$E$9/12)*3</f>
        <v>62500.000000000007</v>
      </c>
      <c r="E23" s="15">
        <f>E12*(Forudsætninger!$E$9/12)*3</f>
        <v>62500.000000000007</v>
      </c>
      <c r="F23" s="15">
        <f>F12*(Forudsætninger!$E$9/12)*3</f>
        <v>62500.000000000007</v>
      </c>
      <c r="G23" s="15">
        <f>G12*(Forudsætninger!$E$9/12)*3</f>
        <v>62500.000000000007</v>
      </c>
    </row>
    <row r="24" spans="1:7" x14ac:dyDescent="0.3">
      <c r="A24" s="10" t="s">
        <v>7</v>
      </c>
      <c r="B24" s="10" t="s">
        <v>33</v>
      </c>
      <c r="D24" s="10">
        <f>D13*(Forudsætninger!$E$10/12)*3</f>
        <v>0</v>
      </c>
      <c r="E24" s="10">
        <f>E13*(Forudsætninger!$E$10/12)*3</f>
        <v>0</v>
      </c>
      <c r="F24" s="10">
        <f>F13*(Forudsætninger!$E$10/12)*3</f>
        <v>0</v>
      </c>
      <c r="G24" s="10">
        <f>G13*(Forudsætninger!$E$10/12)*3</f>
        <v>0</v>
      </c>
    </row>
    <row r="25" spans="1:7" x14ac:dyDescent="0.3">
      <c r="A25" s="10" t="s">
        <v>18</v>
      </c>
      <c r="B25" s="10" t="s">
        <v>33</v>
      </c>
      <c r="D25" s="10">
        <f>D14*(Forudsætninger!$E$11/12)*3</f>
        <v>0</v>
      </c>
      <c r="E25" s="10">
        <f>E14*(Forudsætninger!$E$11/12)*3</f>
        <v>0</v>
      </c>
      <c r="F25" s="10">
        <f>F14*(Forudsætninger!$E$11/12)*3</f>
        <v>0</v>
      </c>
      <c r="G25" s="10">
        <f>G14*(Forudsætninger!$E$11/12)*3</f>
        <v>0</v>
      </c>
    </row>
    <row r="27" spans="1:7" x14ac:dyDescent="0.3">
      <c r="A27" s="10" t="s">
        <v>27</v>
      </c>
      <c r="B27" s="10" t="s">
        <v>33</v>
      </c>
      <c r="D27" s="15">
        <f>SUM(D19:D21)</f>
        <v>50883.852000000006</v>
      </c>
      <c r="E27" s="15">
        <f>SUM(E19:E21)</f>
        <v>29258.648000000001</v>
      </c>
      <c r="F27" s="15">
        <f>SUM(F19:F21)</f>
        <v>17772.036</v>
      </c>
      <c r="G27" s="15">
        <f t="shared" ref="G27" si="0">SUM(G19:G21)</f>
        <v>45678.816000000006</v>
      </c>
    </row>
    <row r="28" spans="1:7" x14ac:dyDescent="0.3">
      <c r="A28" s="10" t="s">
        <v>26</v>
      </c>
      <c r="B28" s="10" t="s">
        <v>33</v>
      </c>
      <c r="D28" s="15">
        <f>SUM(D23:D25)</f>
        <v>62500.000000000007</v>
      </c>
      <c r="E28" s="15">
        <f>SUM(E23:E25)</f>
        <v>62500.000000000007</v>
      </c>
      <c r="F28" s="15">
        <f>SUM(F23:F25)</f>
        <v>62500.000000000007</v>
      </c>
      <c r="G28" s="15">
        <f t="shared" ref="G28" si="1">SUM(G23:G25)</f>
        <v>62500.000000000007</v>
      </c>
    </row>
    <row r="29" spans="1:7" x14ac:dyDescent="0.3">
      <c r="A29" s="19"/>
      <c r="B29" s="19"/>
      <c r="C29" s="19"/>
      <c r="D29" s="20"/>
      <c r="E29" s="20"/>
      <c r="F29" s="20"/>
      <c r="G29" s="20"/>
    </row>
    <row r="30" spans="1:7" x14ac:dyDescent="0.3">
      <c r="D30" s="15"/>
      <c r="E30" s="15"/>
      <c r="F30" s="15"/>
      <c r="G30" s="15"/>
    </row>
    <row r="31" spans="1:7" x14ac:dyDescent="0.3">
      <c r="A31" s="21" t="s">
        <v>49</v>
      </c>
      <c r="B31" s="14" t="s">
        <v>33</v>
      </c>
      <c r="C31" s="14" t="s">
        <v>26</v>
      </c>
      <c r="D31" s="22">
        <f>D28-D27</f>
        <v>11616.148000000001</v>
      </c>
      <c r="E31" s="22">
        <f>E28-E27</f>
        <v>33241.352000000006</v>
      </c>
      <c r="F31" s="22">
        <f>F28-F27</f>
        <v>44727.964000000007</v>
      </c>
      <c r="G31" s="22">
        <f>G28-G27</f>
        <v>16821.184000000001</v>
      </c>
    </row>
    <row r="32" spans="1:7" x14ac:dyDescent="0.3">
      <c r="A32" s="23"/>
      <c r="B32" s="19"/>
      <c r="C32" s="19"/>
      <c r="D32" s="24"/>
      <c r="E32" s="24"/>
      <c r="F32" s="24"/>
      <c r="G32" s="24"/>
    </row>
    <row r="34" spans="1:7" x14ac:dyDescent="0.3">
      <c r="A34" s="12" t="s">
        <v>48</v>
      </c>
      <c r="B34" s="10" t="s">
        <v>33</v>
      </c>
      <c r="C34" s="10" t="s">
        <v>26</v>
      </c>
      <c r="D34" s="18">
        <f>D31</f>
        <v>11616.148000000001</v>
      </c>
      <c r="E34" s="18">
        <f>D31+E31</f>
        <v>44857.500000000007</v>
      </c>
      <c r="F34" s="18">
        <f>D31+E31+F31</f>
        <v>89585.464000000007</v>
      </c>
      <c r="G34" s="18">
        <f>D31+E31+F31+G31</f>
        <v>106406.64800000002</v>
      </c>
    </row>
    <row r="35" spans="1:7" x14ac:dyDescent="0.3">
      <c r="A35" s="19"/>
      <c r="B35" s="19"/>
      <c r="C35" s="19"/>
      <c r="D35" s="19"/>
      <c r="E35" s="19"/>
      <c r="F35" s="19"/>
      <c r="G35" s="19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A251-F99E-4979-96C5-75E4A0F383D2}">
  <dimension ref="A1:G35"/>
  <sheetViews>
    <sheetView tabSelected="1" workbookViewId="0">
      <selection activeCell="E3" sqref="E3"/>
    </sheetView>
  </sheetViews>
  <sheetFormatPr defaultColWidth="9.109375" defaultRowHeight="14.4" x14ac:dyDescent="0.3"/>
  <cols>
    <col min="1" max="1" width="14.6640625" style="10" customWidth="1"/>
    <col min="2" max="2" width="14.88671875" style="10" bestFit="1" customWidth="1"/>
    <col min="3" max="3" width="20.33203125" style="10" bestFit="1" customWidth="1"/>
    <col min="4" max="7" width="10.6640625" style="10" customWidth="1"/>
    <col min="8" max="16384" width="9.109375" style="10"/>
  </cols>
  <sheetData>
    <row r="1" spans="1:7" ht="23.4" x14ac:dyDescent="0.3">
      <c r="A1" s="9" t="s">
        <v>4</v>
      </c>
    </row>
    <row r="4" spans="1:7" x14ac:dyDescent="0.3">
      <c r="A4" s="10" t="s">
        <v>24</v>
      </c>
      <c r="B4" s="12" t="s">
        <v>50</v>
      </c>
      <c r="C4"/>
      <c r="D4"/>
    </row>
    <row r="6" spans="1:7" x14ac:dyDescent="0.3">
      <c r="A6" s="11" t="s">
        <v>32</v>
      </c>
      <c r="B6" s="8" t="s">
        <v>9</v>
      </c>
      <c r="C6" s="8" t="s">
        <v>25</v>
      </c>
      <c r="D6" s="16" t="s">
        <v>44</v>
      </c>
      <c r="E6" s="16" t="s">
        <v>45</v>
      </c>
      <c r="F6" s="16" t="s">
        <v>46</v>
      </c>
      <c r="G6" s="16" t="s">
        <v>47</v>
      </c>
    </row>
    <row r="8" spans="1:7" x14ac:dyDescent="0.3">
      <c r="A8" s="10" t="s">
        <v>19</v>
      </c>
      <c r="B8" s="10" t="s">
        <v>34</v>
      </c>
      <c r="C8" s="10" t="s">
        <v>27</v>
      </c>
      <c r="D8" s="15">
        <f>3164+2845+3101</f>
        <v>9110</v>
      </c>
      <c r="E8" s="17">
        <v>3955</v>
      </c>
      <c r="F8" s="17"/>
      <c r="G8" s="15"/>
    </row>
    <row r="9" spans="1:7" x14ac:dyDescent="0.3">
      <c r="A9" s="10" t="s">
        <v>0</v>
      </c>
      <c r="B9" s="10" t="s">
        <v>34</v>
      </c>
      <c r="C9" s="10" t="s">
        <v>27</v>
      </c>
      <c r="D9" s="15">
        <f>70.3+70.3+70.3</f>
        <v>210.89999999999998</v>
      </c>
      <c r="E9" s="15">
        <v>211</v>
      </c>
      <c r="F9" s="15"/>
      <c r="G9" s="15"/>
    </row>
    <row r="10" spans="1:7" x14ac:dyDescent="0.3">
      <c r="A10" s="10" t="s">
        <v>2</v>
      </c>
      <c r="B10" s="10" t="s">
        <v>35</v>
      </c>
      <c r="C10" s="10" t="s">
        <v>27</v>
      </c>
      <c r="D10" s="15">
        <f>8457.17+5005.51+4637.79</f>
        <v>18100.47</v>
      </c>
      <c r="E10" s="17">
        <v>12598.31</v>
      </c>
      <c r="F10" s="17"/>
      <c r="G10" s="15"/>
    </row>
    <row r="11" spans="1:7" x14ac:dyDescent="0.3">
      <c r="D11" s="15"/>
      <c r="E11" s="15"/>
      <c r="F11" s="15"/>
      <c r="G11" s="15"/>
    </row>
    <row r="12" spans="1:7" x14ac:dyDescent="0.3">
      <c r="A12" s="10" t="s">
        <v>6</v>
      </c>
      <c r="B12" s="10" t="s">
        <v>36</v>
      </c>
      <c r="C12" s="10" t="s">
        <v>26</v>
      </c>
      <c r="D12" s="15">
        <v>25</v>
      </c>
      <c r="E12" s="15">
        <v>25</v>
      </c>
      <c r="F12" s="15"/>
      <c r="G12" s="15"/>
    </row>
    <row r="13" spans="1:7" x14ac:dyDescent="0.3">
      <c r="A13" s="10" t="s">
        <v>7</v>
      </c>
      <c r="B13" s="10" t="s">
        <v>36</v>
      </c>
      <c r="C13" s="10" t="s">
        <v>26</v>
      </c>
      <c r="D13" s="15">
        <v>15</v>
      </c>
      <c r="E13" s="15">
        <v>15</v>
      </c>
      <c r="F13" s="15"/>
      <c r="G13" s="15"/>
    </row>
    <row r="14" spans="1:7" x14ac:dyDescent="0.3">
      <c r="A14" s="10" t="s">
        <v>18</v>
      </c>
      <c r="B14" s="10" t="s">
        <v>36</v>
      </c>
      <c r="C14" s="10" t="s">
        <v>26</v>
      </c>
      <c r="D14" s="15">
        <v>10</v>
      </c>
      <c r="E14" s="15">
        <v>10</v>
      </c>
      <c r="F14" s="15"/>
      <c r="G14" s="15"/>
    </row>
    <row r="17" spans="1:7" x14ac:dyDescent="0.3">
      <c r="A17" s="11" t="s">
        <v>37</v>
      </c>
      <c r="B17" s="8"/>
      <c r="C17" s="8"/>
      <c r="D17" s="16" t="s">
        <v>44</v>
      </c>
      <c r="E17" s="16" t="s">
        <v>45</v>
      </c>
      <c r="F17" s="16" t="s">
        <v>46</v>
      </c>
      <c r="G17" s="16" t="s">
        <v>47</v>
      </c>
    </row>
    <row r="19" spans="1:7" x14ac:dyDescent="0.3">
      <c r="A19" s="10" t="s">
        <v>19</v>
      </c>
      <c r="B19" s="10" t="s">
        <v>33</v>
      </c>
      <c r="D19" s="15">
        <f>D8*Forudsætninger!$E$12*Forudsætninger!$E$13</f>
        <v>41322.959999999999</v>
      </c>
      <c r="E19" s="15">
        <f>E8*Forudsætninger!$E$12*Forudsætninger!$E$13</f>
        <v>17939.88</v>
      </c>
      <c r="F19" s="15">
        <f>F8*Forudsætninger!$E$12*Forudsætninger!$E$13</f>
        <v>0</v>
      </c>
      <c r="G19" s="15">
        <f>G8*Forudsætninger!$E$12*Forudsætninger!$E$13</f>
        <v>0</v>
      </c>
    </row>
    <row r="20" spans="1:7" x14ac:dyDescent="0.3">
      <c r="A20" s="10" t="s">
        <v>0</v>
      </c>
      <c r="B20" s="10" t="s">
        <v>33</v>
      </c>
      <c r="D20" s="15">
        <f>D9*Forudsætninger!$E$15</f>
        <v>42.18</v>
      </c>
      <c r="E20" s="15">
        <f>E9*Forudsætninger!$E$15</f>
        <v>42.2</v>
      </c>
      <c r="F20" s="15">
        <f>F9*Forudsætninger!$E$15</f>
        <v>0</v>
      </c>
      <c r="G20" s="15">
        <f>G9*Forudsætninger!$E$15</f>
        <v>0</v>
      </c>
    </row>
    <row r="21" spans="1:7" x14ac:dyDescent="0.3">
      <c r="A21" s="10" t="s">
        <v>2</v>
      </c>
      <c r="B21" s="10" t="s">
        <v>33</v>
      </c>
      <c r="D21" s="15">
        <f>D10*Forudsætninger!$E$14</f>
        <v>9050.2350000000006</v>
      </c>
      <c r="E21" s="15">
        <f>E10*Forudsætninger!$E$14</f>
        <v>6299.1549999999997</v>
      </c>
      <c r="F21" s="15">
        <f>F10*Forudsætninger!$E$14</f>
        <v>0</v>
      </c>
      <c r="G21" s="15">
        <f>G10*Forudsætninger!$E$14</f>
        <v>0</v>
      </c>
    </row>
    <row r="23" spans="1:7" x14ac:dyDescent="0.3">
      <c r="A23" s="10" t="s">
        <v>6</v>
      </c>
      <c r="B23" s="10" t="s">
        <v>33</v>
      </c>
      <c r="D23" s="15">
        <f>D12*(Forudsætninger!$E$9/12)*3</f>
        <v>62500.000000000007</v>
      </c>
      <c r="E23" s="15">
        <f>E12*(Forudsætninger!$E$9/12)*3</f>
        <v>62500.000000000007</v>
      </c>
      <c r="F23" s="15">
        <f>F12*(Forudsætninger!$E$9/12)*3</f>
        <v>0</v>
      </c>
      <c r="G23" s="15">
        <f>G12*(Forudsætninger!$E$9/12)*3</f>
        <v>0</v>
      </c>
    </row>
    <row r="24" spans="1:7" x14ac:dyDescent="0.3">
      <c r="A24" s="10" t="s">
        <v>7</v>
      </c>
      <c r="B24" s="10" t="s">
        <v>33</v>
      </c>
      <c r="D24" s="10">
        <f>D13*(Forudsætninger!$E$10/12)*3</f>
        <v>0</v>
      </c>
      <c r="E24" s="10">
        <f>E13*(Forudsætninger!$E$10/12)*3</f>
        <v>0</v>
      </c>
      <c r="F24" s="10">
        <f>F13*(Forudsætninger!$E$10/12)*3</f>
        <v>0</v>
      </c>
      <c r="G24" s="10">
        <f>G13*(Forudsætninger!$E$10/12)*3</f>
        <v>0</v>
      </c>
    </row>
    <row r="25" spans="1:7" x14ac:dyDescent="0.3">
      <c r="A25" s="10" t="s">
        <v>18</v>
      </c>
      <c r="B25" s="10" t="s">
        <v>33</v>
      </c>
      <c r="D25" s="10">
        <f>D14*(Forudsætninger!$E$11/12)*3</f>
        <v>0</v>
      </c>
      <c r="E25" s="10">
        <f>E14*(Forudsætninger!$E$11/12)*3</f>
        <v>0</v>
      </c>
      <c r="F25" s="10">
        <f>F14*(Forudsætninger!$E$11/12)*3</f>
        <v>0</v>
      </c>
      <c r="G25" s="10">
        <f>G14*(Forudsætninger!$E$11/12)*3</f>
        <v>0</v>
      </c>
    </row>
    <row r="27" spans="1:7" x14ac:dyDescent="0.3">
      <c r="A27" s="10" t="s">
        <v>27</v>
      </c>
      <c r="B27" s="10" t="s">
        <v>33</v>
      </c>
      <c r="D27" s="15">
        <f>SUM(D19:D21)</f>
        <v>50415.375</v>
      </c>
      <c r="E27" s="15">
        <f>SUM(E19:E21)</f>
        <v>24281.235000000001</v>
      </c>
      <c r="F27" s="15">
        <f>SUM(F19:F21)</f>
        <v>0</v>
      </c>
      <c r="G27" s="15">
        <f t="shared" ref="G27" si="0">SUM(G19:G21)</f>
        <v>0</v>
      </c>
    </row>
    <row r="28" spans="1:7" x14ac:dyDescent="0.3">
      <c r="A28" s="10" t="s">
        <v>26</v>
      </c>
      <c r="B28" s="10" t="s">
        <v>33</v>
      </c>
      <c r="D28" s="15">
        <f>SUM(D23:D25)</f>
        <v>62500.000000000007</v>
      </c>
      <c r="E28" s="15">
        <f>SUM(E23:E25)</f>
        <v>62500.000000000007</v>
      </c>
      <c r="F28" s="15">
        <f>SUM(F23:F25)</f>
        <v>0</v>
      </c>
      <c r="G28" s="15">
        <f t="shared" ref="G28" si="1">SUM(G23:G25)</f>
        <v>0</v>
      </c>
    </row>
    <row r="29" spans="1:7" x14ac:dyDescent="0.3">
      <c r="A29" s="19"/>
      <c r="B29" s="19"/>
      <c r="C29" s="19"/>
      <c r="D29" s="20"/>
      <c r="E29" s="20"/>
      <c r="F29" s="20"/>
      <c r="G29" s="20"/>
    </row>
    <row r="30" spans="1:7" x14ac:dyDescent="0.3">
      <c r="D30" s="15"/>
      <c r="E30" s="15"/>
      <c r="F30" s="15"/>
      <c r="G30" s="15"/>
    </row>
    <row r="31" spans="1:7" x14ac:dyDescent="0.3">
      <c r="A31" s="21" t="s">
        <v>49</v>
      </c>
      <c r="B31" s="14" t="s">
        <v>33</v>
      </c>
      <c r="C31" s="14" t="s">
        <v>26</v>
      </c>
      <c r="D31" s="22">
        <f>D28-D27</f>
        <v>12084.625000000007</v>
      </c>
      <c r="E31" s="22">
        <f>E28-E27</f>
        <v>38218.765000000007</v>
      </c>
      <c r="F31" s="22">
        <f>F28-F27</f>
        <v>0</v>
      </c>
      <c r="G31" s="22">
        <f>G28-G27</f>
        <v>0</v>
      </c>
    </row>
    <row r="32" spans="1:7" x14ac:dyDescent="0.3">
      <c r="A32" s="23"/>
      <c r="B32" s="19"/>
      <c r="C32" s="19"/>
      <c r="D32" s="24"/>
      <c r="E32" s="24"/>
      <c r="F32" s="24"/>
      <c r="G32" s="24"/>
    </row>
    <row r="34" spans="1:7" x14ac:dyDescent="0.3">
      <c r="A34" s="12" t="s">
        <v>48</v>
      </c>
      <c r="B34" s="10" t="s">
        <v>33</v>
      </c>
      <c r="C34" s="10" t="s">
        <v>26</v>
      </c>
      <c r="D34" s="18">
        <f>D31</f>
        <v>12084.625000000007</v>
      </c>
      <c r="E34" s="18">
        <f>D31+E31</f>
        <v>50303.390000000014</v>
      </c>
      <c r="F34" s="18">
        <f>D31+E31+F31</f>
        <v>50303.390000000014</v>
      </c>
      <c r="G34" s="18">
        <f>D31+E31+F31+G31</f>
        <v>50303.390000000014</v>
      </c>
    </row>
    <row r="35" spans="1:7" x14ac:dyDescent="0.3">
      <c r="A35" s="19"/>
      <c r="B35" s="19"/>
      <c r="C35" s="19"/>
      <c r="D35" s="19"/>
      <c r="E35" s="19"/>
      <c r="F35" s="19"/>
      <c r="G35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4F87-1D5F-4DDE-88AD-6EA0191D19A1}">
  <dimension ref="A1:K20"/>
  <sheetViews>
    <sheetView workbookViewId="0"/>
  </sheetViews>
  <sheetFormatPr defaultColWidth="9.109375" defaultRowHeight="14.4" x14ac:dyDescent="0.3"/>
  <cols>
    <col min="1" max="1" width="13.6640625" style="10" customWidth="1"/>
    <col min="2" max="2" width="21.109375" style="10" bestFit="1" customWidth="1"/>
    <col min="3" max="3" width="9.109375" style="10"/>
    <col min="4" max="4" width="21.5546875" style="10" bestFit="1" customWidth="1"/>
    <col min="5" max="6" width="9.109375" style="10"/>
    <col min="7" max="7" width="7.6640625" style="10" customWidth="1"/>
    <col min="8" max="16384" width="9.109375" style="10"/>
  </cols>
  <sheetData>
    <row r="1" spans="1:8" ht="23.4" x14ac:dyDescent="0.3">
      <c r="A1" s="9" t="s">
        <v>4</v>
      </c>
    </row>
    <row r="4" spans="1:8" x14ac:dyDescent="0.3">
      <c r="A4" s="11" t="s">
        <v>5</v>
      </c>
      <c r="B4" s="8"/>
      <c r="C4" s="8"/>
      <c r="D4" s="8"/>
      <c r="E4" s="8"/>
      <c r="F4" s="8"/>
    </row>
    <row r="5" spans="1:8" x14ac:dyDescent="0.3">
      <c r="A5" s="12"/>
    </row>
    <row r="6" spans="1:8" x14ac:dyDescent="0.3">
      <c r="A6" s="10" t="s">
        <v>24</v>
      </c>
      <c r="B6" s="12" t="s">
        <v>38</v>
      </c>
    </row>
    <row r="8" spans="1:8" x14ac:dyDescent="0.3">
      <c r="A8" s="12" t="s">
        <v>8</v>
      </c>
      <c r="B8" s="12" t="s">
        <v>10</v>
      </c>
      <c r="C8" s="12" t="s">
        <v>9</v>
      </c>
      <c r="D8" s="12" t="s">
        <v>25</v>
      </c>
      <c r="E8" s="12" t="s">
        <v>10</v>
      </c>
      <c r="F8" s="12" t="s">
        <v>9</v>
      </c>
      <c r="G8" s="12"/>
      <c r="H8" s="12"/>
    </row>
    <row r="9" spans="1:8" x14ac:dyDescent="0.3">
      <c r="A9" s="10" t="s">
        <v>6</v>
      </c>
      <c r="B9" s="10">
        <v>1</v>
      </c>
      <c r="C9" s="10" t="s">
        <v>11</v>
      </c>
      <c r="D9" s="10" t="s">
        <v>26</v>
      </c>
      <c r="E9" s="10">
        <v>10000</v>
      </c>
      <c r="F9" s="10" t="s">
        <v>22</v>
      </c>
      <c r="H9" s="13" t="s">
        <v>42</v>
      </c>
    </row>
    <row r="10" spans="1:8" x14ac:dyDescent="0.3">
      <c r="A10" s="10" t="s">
        <v>7</v>
      </c>
      <c r="B10" s="10">
        <v>1</v>
      </c>
      <c r="C10" s="10" t="s">
        <v>11</v>
      </c>
      <c r="D10" s="10" t="s">
        <v>26</v>
      </c>
      <c r="E10" s="10">
        <v>0</v>
      </c>
      <c r="F10" s="10" t="s">
        <v>22</v>
      </c>
      <c r="H10" s="10" t="s">
        <v>43</v>
      </c>
    </row>
    <row r="11" spans="1:8" x14ac:dyDescent="0.3">
      <c r="A11" s="10" t="s">
        <v>18</v>
      </c>
      <c r="B11" s="10">
        <v>1</v>
      </c>
      <c r="C11" s="10" t="s">
        <v>11</v>
      </c>
      <c r="D11" s="10" t="s">
        <v>26</v>
      </c>
      <c r="E11" s="10">
        <v>0</v>
      </c>
      <c r="F11" s="10" t="s">
        <v>22</v>
      </c>
      <c r="H11" s="10" t="s">
        <v>43</v>
      </c>
    </row>
    <row r="12" spans="1:8" x14ac:dyDescent="0.3">
      <c r="A12" s="10" t="s">
        <v>19</v>
      </c>
      <c r="B12" s="10">
        <v>1</v>
      </c>
      <c r="C12" s="10" t="s">
        <v>13</v>
      </c>
      <c r="D12" s="10" t="s">
        <v>27</v>
      </c>
      <c r="E12" s="10">
        <v>2.7</v>
      </c>
      <c r="F12" s="10" t="s">
        <v>20</v>
      </c>
      <c r="H12" s="13" t="s">
        <v>15</v>
      </c>
    </row>
    <row r="13" spans="1:8" x14ac:dyDescent="0.3">
      <c r="A13" s="10" t="s">
        <v>19</v>
      </c>
      <c r="B13" s="10">
        <v>1</v>
      </c>
      <c r="C13" s="10" t="s">
        <v>1</v>
      </c>
      <c r="D13" s="10" t="s">
        <v>21</v>
      </c>
      <c r="E13" s="10">
        <v>1.68</v>
      </c>
      <c r="F13" s="10" t="s">
        <v>13</v>
      </c>
      <c r="H13" s="13" t="s">
        <v>14</v>
      </c>
    </row>
    <row r="14" spans="1:8" x14ac:dyDescent="0.3">
      <c r="A14" s="10" t="s">
        <v>2</v>
      </c>
      <c r="B14" s="10">
        <v>1</v>
      </c>
      <c r="C14" s="10" t="s">
        <v>3</v>
      </c>
      <c r="D14" s="10" t="s">
        <v>27</v>
      </c>
      <c r="E14" s="10">
        <v>0.5</v>
      </c>
      <c r="F14" s="10" t="s">
        <v>20</v>
      </c>
      <c r="H14" s="13" t="s">
        <v>16</v>
      </c>
    </row>
    <row r="15" spans="1:8" x14ac:dyDescent="0.3">
      <c r="A15" s="14" t="s">
        <v>0</v>
      </c>
      <c r="B15" s="14">
        <v>1</v>
      </c>
      <c r="C15" s="14" t="s">
        <v>1</v>
      </c>
      <c r="D15" s="14" t="s">
        <v>27</v>
      </c>
      <c r="E15" s="14">
        <v>0.2</v>
      </c>
      <c r="F15" s="14" t="s">
        <v>20</v>
      </c>
      <c r="H15" s="13" t="s">
        <v>17</v>
      </c>
    </row>
    <row r="16" spans="1:8" x14ac:dyDescent="0.3">
      <c r="A16" s="14"/>
      <c r="B16" s="14"/>
      <c r="C16" s="14"/>
      <c r="D16" s="14"/>
      <c r="E16" s="14"/>
      <c r="F16" s="14"/>
    </row>
    <row r="17" spans="1:11" x14ac:dyDescent="0.3">
      <c r="A17" s="14"/>
      <c r="B17" s="14"/>
      <c r="C17" s="14"/>
      <c r="D17" s="14"/>
      <c r="E17" s="14"/>
      <c r="F17" s="14"/>
    </row>
    <row r="18" spans="1:11" ht="69.900000000000006" customHeight="1" x14ac:dyDescent="0.3">
      <c r="A18" s="25" t="s">
        <v>39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24.9" customHeight="1" x14ac:dyDescent="0.3">
      <c r="A19" s="25" t="s">
        <v>40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24.9" customHeight="1" x14ac:dyDescent="0.3">
      <c r="A20" s="25" t="s">
        <v>41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mergeCells count="3">
    <mergeCell ref="A18:K18"/>
    <mergeCell ref="A19:K19"/>
    <mergeCell ref="A20:K20"/>
  </mergeCells>
  <hyperlinks>
    <hyperlink ref="H13" r:id="rId1" xr:uid="{620D48D5-5D26-4BD1-B260-E32E07A004EA}"/>
    <hyperlink ref="H12" r:id="rId2" xr:uid="{F674315F-3C57-4498-B11E-CDD10064EC8D}"/>
    <hyperlink ref="H14" r:id="rId3" xr:uid="{C34BED6C-8273-419E-AAC9-3A612271A5FB}"/>
    <hyperlink ref="H15" r:id="rId4" xr:uid="{63F33CE1-DBE6-4F91-B171-DB53B00B1174}"/>
    <hyperlink ref="H9" r:id="rId5" xr:uid="{CD55E339-B0A2-49EB-947E-F920190236D2}"/>
  </hyperlinks>
  <pageMargins left="0.7" right="0.7" top="0.75" bottom="0.75" header="0.3" footer="0.3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Forudsætninger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Skytte Andersen</dc:creator>
  <cp:lastModifiedBy>Lena Dalhoff Hansen</cp:lastModifiedBy>
  <cp:lastPrinted>2020-05-27T08:06:08Z</cp:lastPrinted>
  <dcterms:created xsi:type="dcterms:W3CDTF">2019-05-03T11:02:19Z</dcterms:created>
  <dcterms:modified xsi:type="dcterms:W3CDTF">2020-10-05T10:51:14Z</dcterms:modified>
</cp:coreProperties>
</file>